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85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o\Documents\TRAIN\"/>
    </mc:Choice>
  </mc:AlternateContent>
  <xr:revisionPtr revIDLastSave="0" documentId="C7E2ECE6C16D3D016CFA26EB8F70181C041E367C" xr6:coauthVersionLast="23" xr6:coauthVersionMax="23" xr10:uidLastSave="{00000000-0000-0000-0000-000000000000}"/>
  <bookViews>
    <workbookView xWindow="11490" yWindow="-15" windowWidth="11520" windowHeight="11385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Feuil1!$A$15:$M$92</definedName>
  </definedNames>
  <calcPr calcId="171026"/>
</workbook>
</file>

<file path=xl/calcChain.xml><?xml version="1.0" encoding="utf-8"?>
<calcChain xmlns="http://schemas.openxmlformats.org/spreadsheetml/2006/main">
  <c r="L24" i="1" l="1"/>
  <c r="L22" i="1"/>
  <c r="D27" i="1"/>
  <c r="B19" i="1"/>
  <c r="C31" i="1"/>
  <c r="F41" i="1"/>
  <c r="D22" i="1"/>
  <c r="H37" i="1"/>
  <c r="H32" i="1"/>
  <c r="H35" i="1"/>
  <c r="H30" i="1"/>
  <c r="F50" i="1"/>
  <c r="F72" i="1"/>
  <c r="F56" i="1"/>
  <c r="C29" i="1"/>
  <c r="C24" i="1"/>
  <c r="D33" i="1"/>
  <c r="C30" i="1"/>
  <c r="G19" i="1"/>
  <c r="B41" i="1"/>
  <c r="F54" i="1"/>
  <c r="A38" i="1"/>
  <c r="F53" i="1"/>
  <c r="H31" i="1"/>
  <c r="H36" i="1"/>
  <c r="H33" i="1"/>
  <c r="H38" i="1"/>
  <c r="F35" i="1"/>
  <c r="D43" i="1"/>
  <c r="H40" i="1"/>
  <c r="F55" i="1"/>
  <c r="J64" i="1"/>
  <c r="K43" i="1"/>
  <c r="F51" i="1"/>
  <c r="F58" i="1"/>
  <c r="F52" i="1"/>
  <c r="F49" i="1"/>
  <c r="F62" i="1"/>
  <c r="F60" i="1"/>
  <c r="I60" i="1"/>
  <c r="J70" i="1"/>
  <c r="F68" i="1"/>
  <c r="F70" i="1"/>
  <c r="F64" i="1"/>
  <c r="F66" i="1"/>
  <c r="J71" i="1"/>
</calcChain>
</file>

<file path=xl/sharedStrings.xml><?xml version="1.0" encoding="utf-8"?>
<sst xmlns="http://schemas.openxmlformats.org/spreadsheetml/2006/main" count="87" uniqueCount="75">
  <si>
    <t>CALCUL POUR RAMPE HELICOIDALE</t>
  </si>
  <si>
    <t>Nota: calculs d'origine faits par Marco.</t>
  </si>
  <si>
    <t>Il suffit de remplir les cellules vertes et uniquement celles-ci.</t>
  </si>
  <si>
    <t>si tu as qu’une seule voie dans ton hélice, alors le rayon inter = le rayon exter.</t>
  </si>
  <si>
    <t>Explication sur le fichier :</t>
  </si>
  <si>
    <r>
      <t>Dans combien de traverse sur 90°</t>
    </r>
    <r>
      <rPr>
        <sz val="12"/>
        <color indexed="8"/>
        <rFont val="Times New Roman"/>
        <family val="1"/>
      </rPr>
      <t xml:space="preserve"> tu renseignes par exemple 3, pour avoir en final sur 360° 12 traverses (360°/12 = 30°) ou 4, soit 16 traverses (360°/16 = 22,5) ect... à savoir que moins il y a de traverse, plus il faudra de bois.</t>
    </r>
  </si>
  <si>
    <r>
      <t>Rayon courbe inter</t>
    </r>
    <r>
      <rPr>
        <sz val="12"/>
        <color indexed="8"/>
        <rFont val="Times New Roman"/>
        <family val="1"/>
      </rPr>
      <t xml:space="preserve"> c’est le rayon de la courbe au centre du rail,</t>
    </r>
  </si>
  <si>
    <r>
      <t>Ballast au rayon</t>
    </r>
    <r>
      <rPr>
        <sz val="12"/>
        <color indexed="8"/>
        <rFont val="Times New Roman"/>
        <family val="1"/>
      </rPr>
      <t xml:space="preserve"> c’est la largeur du rail + la largeur du ballast , en général, c’est 30 mm largeur du rail + 10 mm (2x5) pour le ballast. je te conseille de remplir uniquement la largeur du rail, attention, à renseigner les dimensions au rayon, soit 15 pour une largeur de 30</t>
    </r>
  </si>
  <si>
    <r>
      <t>le dégagement</t>
    </r>
    <r>
      <rPr>
        <sz val="12"/>
        <color indexed="8"/>
        <rFont val="Times New Roman"/>
        <family val="1"/>
      </rPr>
      <t xml:space="preserve"> coté inter, c’est la largeur de bois entre le bord de la planche de l’hélice ainsi constituée, et le bord du rail+ballast si indiqué.</t>
    </r>
  </si>
  <si>
    <t>idem pour le coté exter.</t>
  </si>
  <si>
    <r>
      <t xml:space="preserve">Voilà, tu as ainsi les dimensions du trapèze, il ne reste plus qu' à tracer sur la planche deux parallèles qui correspondent à la </t>
    </r>
    <r>
      <rPr>
        <b/>
        <sz val="12"/>
        <color indexed="8"/>
        <rFont val="Times New Roman"/>
        <family val="1"/>
      </rPr>
      <t>hauteur planche</t>
    </r>
    <r>
      <rPr>
        <sz val="12"/>
        <color indexed="8"/>
        <rFont val="Times New Roman"/>
        <family val="1"/>
      </rPr>
      <t xml:space="preserve"> puis sur la parallèle du haut, reporter les dimensions </t>
    </r>
    <r>
      <rPr>
        <b/>
        <sz val="12"/>
        <color indexed="8"/>
        <rFont val="Times New Roman"/>
        <family val="1"/>
      </rPr>
      <t>(grand coté - petit coté)/2</t>
    </r>
    <r>
      <rPr>
        <sz val="12"/>
        <color indexed="8"/>
        <rFont val="Times New Roman"/>
        <family val="1"/>
      </rPr>
      <t xml:space="preserve">, </t>
    </r>
    <r>
      <rPr>
        <b/>
        <sz val="12"/>
        <color indexed="8"/>
        <rFont val="Times New Roman"/>
        <family val="1"/>
      </rPr>
      <t>petit coté</t>
    </r>
    <r>
      <rPr>
        <sz val="12"/>
        <color indexed="8"/>
        <rFont val="Times New Roman"/>
        <family val="1"/>
      </rPr>
      <t xml:space="preserve">, </t>
    </r>
    <r>
      <rPr>
        <b/>
        <sz val="12"/>
        <color indexed="8"/>
        <rFont val="Times New Roman"/>
        <family val="1"/>
      </rPr>
      <t>grand coté</t>
    </r>
    <r>
      <rPr>
        <sz val="12"/>
        <color indexed="8"/>
        <rFont val="Times New Roman"/>
        <family val="1"/>
      </rPr>
      <t>, et ainsi de suite.</t>
    </r>
  </si>
  <si>
    <r>
      <t xml:space="preserve">parallèle du bas, </t>
    </r>
    <r>
      <rPr>
        <b/>
        <sz val="12"/>
        <color indexed="8"/>
        <rFont val="Times New Roman"/>
        <family val="1"/>
      </rPr>
      <t>grand coté</t>
    </r>
    <r>
      <rPr>
        <sz val="12"/>
        <color indexed="8"/>
        <rFont val="Times New Roman"/>
        <family val="1"/>
      </rPr>
      <t xml:space="preserve">, </t>
    </r>
    <r>
      <rPr>
        <b/>
        <sz val="12"/>
        <color indexed="8"/>
        <rFont val="Times New Roman"/>
        <family val="1"/>
      </rPr>
      <t>petit coté</t>
    </r>
    <r>
      <rPr>
        <sz val="12"/>
        <color indexed="8"/>
        <rFont val="Times New Roman"/>
        <family val="1"/>
      </rPr>
      <t>, et ainsi de suite. tracer les points ainsi obtenu,</t>
    </r>
  </si>
  <si>
    <t>Technique no 1 : Trapèze pour non recouvrement.</t>
  </si>
  <si>
    <t>Combien de traverse sur 90 ° ?</t>
  </si>
  <si>
    <t>angle d'étude</t>
  </si>
  <si>
    <t>degré</t>
  </si>
  <si>
    <t>Nbre de côté</t>
  </si>
  <si>
    <t>Rayon courbe du rail intérieur</t>
  </si>
  <si>
    <t>ballast au rayon</t>
  </si>
  <si>
    <t>dégagement</t>
  </si>
  <si>
    <t>R1</t>
  </si>
  <si>
    <t xml:space="preserve"> </t>
  </si>
  <si>
    <t>Centre du rail rayon exter</t>
  </si>
  <si>
    <t>petit coté =</t>
  </si>
  <si>
    <t>Centre du rail rayon inter</t>
  </si>
  <si>
    <t>Rayon courbe du rail extérieur</t>
  </si>
  <si>
    <t>Hauteur de la planche =</t>
  </si>
  <si>
    <t>longueur oblique =</t>
  </si>
  <si>
    <t xml:space="preserve">  Marge mini entre ballast et bord de planche sur intérieur</t>
  </si>
  <si>
    <t>grand coté =</t>
  </si>
  <si>
    <t xml:space="preserve">  Marge maxi entre ballast et bord de planche sur intérieur</t>
  </si>
  <si>
    <t>petit coté (L2)</t>
  </si>
  <si>
    <t xml:space="preserve">  Marge mini entre ballast et bord de planche sur extérieur</t>
  </si>
  <si>
    <t>longueur oblique (H3)</t>
  </si>
  <si>
    <t xml:space="preserve">  Marge maxi entre ballast et bord de planche sur extérieur</t>
  </si>
  <si>
    <t xml:space="preserve">  Rayon intérieur maxi</t>
  </si>
  <si>
    <t xml:space="preserve">  Rayon intérieur mini</t>
  </si>
  <si>
    <t>hauteur  (H1)</t>
  </si>
  <si>
    <t xml:space="preserve">  Rayon extérieur mini</t>
  </si>
  <si>
    <t xml:space="preserve">  Rayon extérieur maxi</t>
  </si>
  <si>
    <t xml:space="preserve">  Différence entre petit et grand côté</t>
  </si>
  <si>
    <t xml:space="preserve">angle (a3) </t>
  </si>
  <si>
    <t>deg</t>
  </si>
  <si>
    <t>grand coté (L1)</t>
  </si>
  <si>
    <t>longueur planche pour 360 °</t>
  </si>
  <si>
    <t>mètres pour une seule épaisseur un tour complet</t>
  </si>
  <si>
    <t>Surface</t>
  </si>
  <si>
    <t>m²</t>
  </si>
  <si>
    <t>Technique no 2 : Trapèze en vue de recouvrement</t>
  </si>
  <si>
    <t>L4 = L1-L5-L6</t>
  </si>
  <si>
    <t>Petite base</t>
  </si>
  <si>
    <t>L1 grand côté vu plus haut</t>
  </si>
  <si>
    <t>L6 = H1 TAN(a3)</t>
  </si>
  <si>
    <t>L5 = H1 TAN(a2)</t>
  </si>
  <si>
    <t>H1 hauteur planche vue plus haut</t>
  </si>
  <si>
    <t>a3 angle vu plus haut (a1 divisé par 2)</t>
  </si>
  <si>
    <t>a2 angle (90° - a1)</t>
  </si>
  <si>
    <t>a1 angle d'étude vu plus haut</t>
  </si>
  <si>
    <t>petit coté (L4)</t>
  </si>
  <si>
    <t>H1</t>
  </si>
  <si>
    <t>Hauteur</t>
  </si>
  <si>
    <t>hauteur planche (H1)</t>
  </si>
  <si>
    <t>H2 = H1/COS(a2)</t>
  </si>
  <si>
    <t xml:space="preserve">Oblique </t>
  </si>
  <si>
    <t>L3 = L4+(2*L5))</t>
  </si>
  <si>
    <t>Grande base</t>
  </si>
  <si>
    <t>Surface pour 1 tour sans recouvrement</t>
  </si>
  <si>
    <t>angle (a1)</t>
  </si>
  <si>
    <t>grand coté (L3)</t>
  </si>
  <si>
    <t>Ecart de surface entre les 2 techniques (doit être à 0)</t>
  </si>
  <si>
    <t>Longueur linéaire pour un tour sans recouvrement</t>
  </si>
  <si>
    <t>m</t>
  </si>
  <si>
    <t>Ecart de longueur entre les 2 techniques (doit être à 0)</t>
  </si>
  <si>
    <t xml:space="preserve">  Grand côté + petit côté</t>
  </si>
  <si>
    <t>Nombre de trapèze pour faire un 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</si>
</sst>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0.0"/>
    <numFmt numFmtId="166" formatCode="0.0000"/>
    <numFmt numFmtId="167" formatCode="#,##0.0000000"/>
  </numFmts>
  <fonts count="11">
    <font>
      <sz val="10"/>
      <color theme="1"/>
      <name val="Calibri"/>
      <family val="2"/>
      <scheme val="minor"/>
    </font>
    <font>
      <b/>
      <u/>
      <sz val="10"/>
      <color indexed="8"/>
      <name val="Calibri"/>
      <family val="2"/>
    </font>
    <font>
      <b/>
      <sz val="10"/>
      <color indexed="10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0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b/>
      <u/>
      <sz val="12"/>
      <color indexed="8"/>
      <name val="Calibri"/>
      <family val="2"/>
    </font>
    <font>
      <sz val="10"/>
      <color indexed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quotePrefix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" fillId="0" borderId="0" xfId="0" applyFont="1"/>
    <xf numFmtId="164" fontId="2" fillId="0" borderId="0" xfId="0" applyNumberFormat="1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"/>
    </xf>
    <xf numFmtId="0" fontId="3" fillId="0" borderId="0" xfId="0" applyFont="1" applyAlignment="1">
      <alignment horizontal="right"/>
    </xf>
    <xf numFmtId="164" fontId="4" fillId="0" borderId="0" xfId="0" applyNumberFormat="1" applyFont="1" applyAlignment="1">
      <alignment horizontal="center" vertical="center" wrapText="1"/>
    </xf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right"/>
    </xf>
    <xf numFmtId="0" fontId="5" fillId="0" borderId="0" xfId="0" applyFont="1"/>
    <xf numFmtId="0" fontId="0" fillId="0" borderId="0" xfId="0" quotePrefix="1" applyFill="1"/>
    <xf numFmtId="16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164" fontId="2" fillId="0" borderId="0" xfId="0" applyNumberFormat="1" applyFont="1" applyAlignment="1">
      <alignment horizontal="center" vertical="center"/>
    </xf>
    <xf numFmtId="0" fontId="6" fillId="0" borderId="0" xfId="0" applyFont="1"/>
    <xf numFmtId="0" fontId="8" fillId="0" borderId="0" xfId="0" applyFont="1"/>
    <xf numFmtId="164" fontId="0" fillId="0" borderId="0" xfId="0" applyNumberFormat="1"/>
    <xf numFmtId="165" fontId="0" fillId="0" borderId="0" xfId="0" applyNumberFormat="1"/>
    <xf numFmtId="0" fontId="9" fillId="0" borderId="0" xfId="0" applyFont="1"/>
    <xf numFmtId="0" fontId="0" fillId="0" borderId="1" xfId="0" applyBorder="1"/>
    <xf numFmtId="0" fontId="0" fillId="0" borderId="2" xfId="0" applyBorder="1"/>
    <xf numFmtId="164" fontId="0" fillId="0" borderId="3" xfId="0" applyNumberFormat="1" applyBorder="1"/>
    <xf numFmtId="164" fontId="0" fillId="0" borderId="4" xfId="0" applyNumberFormat="1" applyBorder="1"/>
    <xf numFmtId="164" fontId="5" fillId="0" borderId="4" xfId="0" applyNumberFormat="1" applyFont="1" applyBorder="1"/>
    <xf numFmtId="166" fontId="5" fillId="0" borderId="0" xfId="0" applyNumberFormat="1" applyFont="1"/>
    <xf numFmtId="164" fontId="5" fillId="0" borderId="0" xfId="0" applyNumberFormat="1" applyFont="1" applyAlignment="1">
      <alignment horizontal="right"/>
    </xf>
    <xf numFmtId="167" fontId="0" fillId="0" borderId="0" xfId="0" applyNumberFormat="1"/>
    <xf numFmtId="164" fontId="10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20</xdr:row>
      <xdr:rowOff>129540</xdr:rowOff>
    </xdr:from>
    <xdr:to>
      <xdr:col>7</xdr:col>
      <xdr:colOff>541020</xdr:colOff>
      <xdr:row>26</xdr:row>
      <xdr:rowOff>121920</xdr:rowOff>
    </xdr:to>
    <xdr:pic>
      <xdr:nvPicPr>
        <xdr:cNvPr id="1025" name="Image 1" descr="helicoidale.jp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88080" y="3695700"/>
          <a:ext cx="2004060" cy="1607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213360</xdr:colOff>
      <xdr:row>33</xdr:row>
      <xdr:rowOff>30480</xdr:rowOff>
    </xdr:from>
    <xdr:to>
      <xdr:col>5</xdr:col>
      <xdr:colOff>228600</xdr:colOff>
      <xdr:row>39</xdr:row>
      <xdr:rowOff>144780</xdr:rowOff>
    </xdr:to>
    <xdr:pic>
      <xdr:nvPicPr>
        <xdr:cNvPr id="1026" name="Image 2" descr="helicoidal1.jpg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05840" y="6347460"/>
          <a:ext cx="2796540" cy="1165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213360</xdr:colOff>
      <xdr:row>56</xdr:row>
      <xdr:rowOff>30480</xdr:rowOff>
    </xdr:from>
    <xdr:to>
      <xdr:col>12</xdr:col>
      <xdr:colOff>754380</xdr:colOff>
      <xdr:row>62</xdr:row>
      <xdr:rowOff>144780</xdr:rowOff>
    </xdr:to>
    <xdr:pic>
      <xdr:nvPicPr>
        <xdr:cNvPr id="1027" name="Image 2" descr="helicoidal1.jpg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39940" y="10401300"/>
          <a:ext cx="2796540" cy="1165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769620</xdr:colOff>
      <xdr:row>73</xdr:row>
      <xdr:rowOff>144780</xdr:rowOff>
    </xdr:from>
    <xdr:to>
      <xdr:col>11</xdr:col>
      <xdr:colOff>30480</xdr:colOff>
      <xdr:row>134</xdr:row>
      <xdr:rowOff>144780</xdr:rowOff>
    </xdr:to>
    <xdr:pic>
      <xdr:nvPicPr>
        <xdr:cNvPr id="1028" name="Picture 4" descr="Hélicoide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9620" y="13205460"/>
          <a:ext cx="7772400" cy="10690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2"/>
  <sheetViews>
    <sheetView tabSelected="1" zoomScale="120" workbookViewId="0" xr3:uid="{AEA406A1-0E4B-5B11-9CD5-51D6E497D94C}">
      <selection activeCell="L36" sqref="L36"/>
    </sheetView>
  </sheetViews>
  <sheetFormatPr defaultColWidth="11.42578125" defaultRowHeight="12.75"/>
  <cols>
    <col min="2" max="2" width="12" bestFit="1" customWidth="1"/>
    <col min="5" max="5" width="5.42578125" customWidth="1"/>
    <col min="6" max="6" width="11.42578125" customWidth="1"/>
    <col min="9" max="9" width="14.28515625" customWidth="1"/>
    <col min="12" max="12" width="9.7109375" customWidth="1"/>
  </cols>
  <sheetData>
    <row r="1" spans="1:6">
      <c r="A1" s="4" t="s">
        <v>0</v>
      </c>
    </row>
    <row r="2" spans="1:6">
      <c r="A2" s="4"/>
    </row>
    <row r="3" spans="1:6">
      <c r="A3" s="33" t="s">
        <v>1</v>
      </c>
      <c r="B3" s="1"/>
      <c r="F3" s="4"/>
    </row>
    <row r="4" spans="1:6">
      <c r="B4" s="1"/>
      <c r="F4" s="4"/>
    </row>
    <row r="5" spans="1:6" ht="15.75">
      <c r="A5" s="18" t="s">
        <v>2</v>
      </c>
    </row>
    <row r="6" spans="1:6" ht="15.75">
      <c r="A6" s="18" t="s">
        <v>3</v>
      </c>
    </row>
    <row r="7" spans="1:6" ht="15.75">
      <c r="A7" s="18" t="s">
        <v>4</v>
      </c>
    </row>
    <row r="8" spans="1:6" ht="15.75">
      <c r="A8" s="19" t="s">
        <v>5</v>
      </c>
    </row>
    <row r="9" spans="1:6" ht="15.75">
      <c r="A9" s="19" t="s">
        <v>6</v>
      </c>
    </row>
    <row r="10" spans="1:6" ht="15.75">
      <c r="A10" s="19" t="s">
        <v>7</v>
      </c>
    </row>
    <row r="11" spans="1:6" ht="15.75">
      <c r="A11" s="19" t="s">
        <v>8</v>
      </c>
    </row>
    <row r="12" spans="1:6" ht="15.75">
      <c r="A12" s="18" t="s">
        <v>9</v>
      </c>
    </row>
    <row r="13" spans="1:6" ht="15.75">
      <c r="A13" s="18" t="s">
        <v>10</v>
      </c>
    </row>
    <row r="14" spans="1:6" ht="15.75">
      <c r="A14" s="18" t="s">
        <v>11</v>
      </c>
    </row>
    <row r="15" spans="1:6" ht="15.75">
      <c r="A15" s="18"/>
    </row>
    <row r="16" spans="1:6" ht="15.75">
      <c r="A16" s="22" t="s">
        <v>12</v>
      </c>
      <c r="B16" s="1"/>
      <c r="F16" s="4"/>
    </row>
    <row r="17" spans="1:12" ht="5.25" customHeight="1">
      <c r="B17" s="1"/>
    </row>
    <row r="18" spans="1:12">
      <c r="A18" t="s">
        <v>13</v>
      </c>
      <c r="B18" s="1"/>
      <c r="D18" s="38">
        <v>2</v>
      </c>
    </row>
    <row r="19" spans="1:12">
      <c r="A19" t="s">
        <v>14</v>
      </c>
      <c r="B19" s="14">
        <f>IF(D18=0,"",90/D18)</f>
        <v>45</v>
      </c>
      <c r="C19" s="37" t="s">
        <v>15</v>
      </c>
      <c r="F19" t="s">
        <v>16</v>
      </c>
      <c r="G19">
        <f>360/B19</f>
        <v>8</v>
      </c>
    </row>
    <row r="20" spans="1:12" ht="6" customHeight="1">
      <c r="B20" s="1"/>
      <c r="C20" s="37"/>
    </row>
    <row r="21" spans="1:12" ht="39.75" customHeight="1">
      <c r="A21" s="3" t="s">
        <v>17</v>
      </c>
      <c r="B21" s="3" t="s">
        <v>18</v>
      </c>
      <c r="C21" s="3" t="s">
        <v>19</v>
      </c>
      <c r="D21" s="35" t="s">
        <v>20</v>
      </c>
      <c r="I21" s="41" t="s">
        <v>21</v>
      </c>
      <c r="J21" s="41"/>
      <c r="K21" s="41"/>
      <c r="L21" s="17" t="s">
        <v>21</v>
      </c>
    </row>
    <row r="22" spans="1:12">
      <c r="A22" s="39">
        <v>545</v>
      </c>
      <c r="B22" s="39">
        <v>15</v>
      </c>
      <c r="C22" s="39">
        <v>20</v>
      </c>
      <c r="D22" s="35">
        <f>A22-B22-C22</f>
        <v>510</v>
      </c>
      <c r="I22" s="42" t="s">
        <v>22</v>
      </c>
      <c r="J22" s="42"/>
      <c r="K22" s="42"/>
      <c r="L22" s="17">
        <f>A27</f>
        <v>605</v>
      </c>
    </row>
    <row r="23" spans="1:12" ht="6.75" customHeight="1">
      <c r="J23" s="13"/>
      <c r="L23" s="17"/>
    </row>
    <row r="24" spans="1:12">
      <c r="B24" s="8" t="s">
        <v>23</v>
      </c>
      <c r="C24" s="9">
        <f>D22*2*SIN(RADIANS(B19/2))</f>
        <v>390.3371010123916</v>
      </c>
      <c r="I24" s="42" t="s">
        <v>24</v>
      </c>
      <c r="J24" s="42"/>
      <c r="K24" s="42"/>
      <c r="L24" s="17">
        <f>A22</f>
        <v>545</v>
      </c>
    </row>
    <row r="25" spans="1:12">
      <c r="I25" s="43" t="s">
        <v>21</v>
      </c>
      <c r="J25" s="43"/>
      <c r="K25" s="43"/>
      <c r="L25" s="17" t="s">
        <v>21</v>
      </c>
    </row>
    <row r="26" spans="1:12" ht="39.75" customHeight="1">
      <c r="A26" s="3" t="s">
        <v>25</v>
      </c>
      <c r="B26" s="3" t="s">
        <v>18</v>
      </c>
      <c r="C26" s="3" t="s">
        <v>19</v>
      </c>
      <c r="D26" s="35" t="s">
        <v>20</v>
      </c>
    </row>
    <row r="27" spans="1:12">
      <c r="A27" s="39">
        <v>605</v>
      </c>
      <c r="B27" s="39">
        <v>15</v>
      </c>
      <c r="C27" s="39">
        <v>20</v>
      </c>
      <c r="D27" s="35">
        <f>A27+B27+C27</f>
        <v>640</v>
      </c>
    </row>
    <row r="28" spans="1:12" ht="6.75" customHeight="1"/>
    <row r="29" spans="1:12">
      <c r="B29" s="8" t="s">
        <v>26</v>
      </c>
      <c r="C29" s="7">
        <f>D27-(D22*COS(RADIANS(B19/2)))</f>
        <v>168.82143841924375</v>
      </c>
    </row>
    <row r="30" spans="1:12">
      <c r="B30" s="36" t="s">
        <v>27</v>
      </c>
      <c r="C30" s="15">
        <f>(D27*(1/COS(RADIANS(B19/2))))-D22</f>
        <v>182.73100818713215</v>
      </c>
      <c r="H30" s="21">
        <f>C22</f>
        <v>20</v>
      </c>
      <c r="I30" t="s">
        <v>28</v>
      </c>
    </row>
    <row r="31" spans="1:12">
      <c r="B31" s="6" t="s">
        <v>29</v>
      </c>
      <c r="C31" s="7">
        <f>D27*2*TAN(RADIANS(B19/2))</f>
        <v>530.19335983756162</v>
      </c>
      <c r="F31" s="20" t="s">
        <v>21</v>
      </c>
      <c r="G31" s="20" t="s">
        <v>21</v>
      </c>
      <c r="H31" s="21">
        <f>C29-(D27-D22)+C22</f>
        <v>58.821438419243748</v>
      </c>
      <c r="I31" t="s">
        <v>30</v>
      </c>
    </row>
    <row r="32" spans="1:12">
      <c r="D32" s="34" t="s">
        <v>31</v>
      </c>
      <c r="E32" s="2"/>
      <c r="H32" s="21">
        <f>C27</f>
        <v>20</v>
      </c>
      <c r="I32" t="s">
        <v>32</v>
      </c>
    </row>
    <row r="33" spans="1:12">
      <c r="D33" s="5">
        <f>C24</f>
        <v>390.3371010123916</v>
      </c>
      <c r="F33" s="37" t="s">
        <v>33</v>
      </c>
      <c r="H33" s="21">
        <f>C30-(D27-D22)+C27</f>
        <v>72.731008187132147</v>
      </c>
      <c r="I33" t="s">
        <v>34</v>
      </c>
    </row>
    <row r="35" spans="1:12">
      <c r="F35" s="16">
        <f>C30</f>
        <v>182.73100818713215</v>
      </c>
      <c r="H35" s="21">
        <f>D22</f>
        <v>510</v>
      </c>
      <c r="I35" t="s">
        <v>35</v>
      </c>
    </row>
    <row r="36" spans="1:12">
      <c r="H36" s="21">
        <f>H35+H30-H31</f>
        <v>471.17856158075625</v>
      </c>
      <c r="I36" t="s">
        <v>36</v>
      </c>
    </row>
    <row r="37" spans="1:12">
      <c r="A37" s="34" t="s">
        <v>37</v>
      </c>
      <c r="H37" s="21">
        <f>D27</f>
        <v>640</v>
      </c>
      <c r="I37" t="s">
        <v>38</v>
      </c>
    </row>
    <row r="38" spans="1:12">
      <c r="A38" s="11">
        <f>C29</f>
        <v>168.82143841924375</v>
      </c>
      <c r="H38" s="21">
        <f>H37-H32+H33</f>
        <v>692.73100818713215</v>
      </c>
      <c r="I38" t="s">
        <v>39</v>
      </c>
    </row>
    <row r="40" spans="1:12">
      <c r="H40" s="20">
        <f>E41-D33</f>
        <v>-390.3371010123916</v>
      </c>
      <c r="I40" t="s">
        <v>40</v>
      </c>
    </row>
    <row r="41" spans="1:12">
      <c r="A41" s="12" t="s">
        <v>41</v>
      </c>
      <c r="B41" s="34">
        <f>B19/2</f>
        <v>22.5</v>
      </c>
      <c r="C41" t="s">
        <v>42</v>
      </c>
      <c r="D41" s="40" t="s">
        <v>43</v>
      </c>
      <c r="E41" s="40"/>
      <c r="F41" s="32">
        <f>C31</f>
        <v>530.19335983756162</v>
      </c>
    </row>
    <row r="43" spans="1:12">
      <c r="B43" t="s">
        <v>44</v>
      </c>
      <c r="D43" s="15">
        <f>(D33+F41)*(360/(B19*2))/1000</f>
        <v>3.6821218433998131</v>
      </c>
      <c r="E43" t="s">
        <v>45</v>
      </c>
      <c r="J43" t="s">
        <v>46</v>
      </c>
      <c r="K43" s="28">
        <f>(((F41+D33)/2)*A38)*(360/B19)/1000/1000</f>
        <v>0.62162110603767384</v>
      </c>
      <c r="L43" t="s">
        <v>47</v>
      </c>
    </row>
    <row r="47" spans="1:12" ht="15.75">
      <c r="A47" s="22" t="s">
        <v>48</v>
      </c>
    </row>
    <row r="49" spans="1:13">
      <c r="A49" s="23" t="s">
        <v>49</v>
      </c>
      <c r="B49" s="24"/>
      <c r="C49" s="24"/>
      <c r="D49" s="24"/>
      <c r="E49" s="25"/>
      <c r="F49" s="27">
        <f>F50-F52-F51</f>
        <v>291.44379200573292</v>
      </c>
      <c r="G49" s="13" t="s">
        <v>50</v>
      </c>
    </row>
    <row r="50" spans="1:13">
      <c r="B50" s="23" t="s">
        <v>51</v>
      </c>
      <c r="C50" s="24"/>
      <c r="D50" s="24"/>
      <c r="E50" s="24"/>
      <c r="F50" s="26">
        <f>F41</f>
        <v>530.19335983756162</v>
      </c>
    </row>
    <row r="51" spans="1:13">
      <c r="B51" s="23" t="s">
        <v>52</v>
      </c>
      <c r="C51" s="24"/>
      <c r="D51" s="24"/>
      <c r="E51" s="24"/>
      <c r="F51" s="26">
        <f>F53*(TAN(RADIANS(F54)))</f>
        <v>69.928129412585037</v>
      </c>
    </row>
    <row r="52" spans="1:13">
      <c r="B52" s="23" t="s">
        <v>53</v>
      </c>
      <c r="C52" s="24"/>
      <c r="D52" s="24"/>
      <c r="E52" s="24"/>
      <c r="F52" s="26">
        <f>F53*(TAN(RADIANS(F55)))</f>
        <v>168.82143841924372</v>
      </c>
    </row>
    <row r="53" spans="1:13">
      <c r="B53" s="23" t="s">
        <v>54</v>
      </c>
      <c r="C53" s="24"/>
      <c r="D53" s="24"/>
      <c r="E53" s="24"/>
      <c r="F53" s="26">
        <f>A38</f>
        <v>168.82143841924375</v>
      </c>
    </row>
    <row r="54" spans="1:13">
      <c r="B54" s="23" t="s">
        <v>55</v>
      </c>
      <c r="C54" s="24"/>
      <c r="D54" s="24"/>
      <c r="E54" s="24"/>
      <c r="F54" s="26">
        <f>B41</f>
        <v>22.5</v>
      </c>
    </row>
    <row r="55" spans="1:13">
      <c r="B55" s="23" t="s">
        <v>56</v>
      </c>
      <c r="C55" s="24"/>
      <c r="D55" s="24"/>
      <c r="E55" s="24"/>
      <c r="F55" s="26">
        <f>90-F56</f>
        <v>45</v>
      </c>
    </row>
    <row r="56" spans="1:13">
      <c r="B56" s="23" t="s">
        <v>57</v>
      </c>
      <c r="C56" s="24"/>
      <c r="D56" s="24"/>
      <c r="E56" s="24"/>
      <c r="F56" s="26">
        <f>B19</f>
        <v>45</v>
      </c>
      <c r="L56" s="34" t="s">
        <v>58</v>
      </c>
    </row>
    <row r="58" spans="1:13">
      <c r="A58" s="23" t="s">
        <v>59</v>
      </c>
      <c r="B58" s="24" t="s">
        <v>54</v>
      </c>
      <c r="C58" s="24"/>
      <c r="D58" s="24"/>
      <c r="E58" s="25"/>
      <c r="F58" s="27">
        <f>F53</f>
        <v>168.82143841924375</v>
      </c>
      <c r="G58" s="13" t="s">
        <v>60</v>
      </c>
    </row>
    <row r="59" spans="1:13">
      <c r="I59" s="10" t="s">
        <v>61</v>
      </c>
    </row>
    <row r="60" spans="1:13">
      <c r="A60" s="23" t="s">
        <v>62</v>
      </c>
      <c r="B60" s="24"/>
      <c r="C60" s="24"/>
      <c r="D60" s="24"/>
      <c r="E60" s="25"/>
      <c r="F60" s="27">
        <f>F58/(COS(RADIANS(F55)))</f>
        <v>238.74956783182878</v>
      </c>
      <c r="G60" s="13" t="s">
        <v>63</v>
      </c>
      <c r="I60" s="31">
        <f>F58</f>
        <v>168.82143841924375</v>
      </c>
    </row>
    <row r="62" spans="1:13">
      <c r="A62" s="23" t="s">
        <v>64</v>
      </c>
      <c r="B62" s="24"/>
      <c r="C62" s="24"/>
      <c r="D62" s="24"/>
      <c r="E62" s="25"/>
      <c r="F62" s="27">
        <f>F49+(2*F52)</f>
        <v>629.08666884422041</v>
      </c>
      <c r="G62" s="13" t="s">
        <v>65</v>
      </c>
    </row>
    <row r="64" spans="1:13">
      <c r="A64" t="s">
        <v>66</v>
      </c>
      <c r="F64" s="28">
        <f>(((F62+F49)/2)*F58)*(360/B19)/1000/1000</f>
        <v>0.62162110603767395</v>
      </c>
      <c r="G64" t="s">
        <v>47</v>
      </c>
      <c r="I64" s="12" t="s">
        <v>67</v>
      </c>
      <c r="J64" s="31">
        <f>F56</f>
        <v>45</v>
      </c>
      <c r="K64" t="s">
        <v>42</v>
      </c>
      <c r="L64" s="40" t="s">
        <v>68</v>
      </c>
      <c r="M64" s="40"/>
    </row>
    <row r="65" spans="1:11" ht="6" customHeight="1"/>
    <row r="66" spans="1:11">
      <c r="A66" t="s">
        <v>69</v>
      </c>
      <c r="F66" s="30">
        <f>F64-K43</f>
        <v>0</v>
      </c>
    </row>
    <row r="67" spans="1:11" ht="6.6" customHeight="1"/>
    <row r="68" spans="1:11">
      <c r="A68" t="s">
        <v>70</v>
      </c>
      <c r="F68" s="29">
        <f>((F62+F49)/2)*(360/B19)/1000</f>
        <v>3.6821218433998135</v>
      </c>
      <c r="G68" t="s">
        <v>71</v>
      </c>
    </row>
    <row r="69" spans="1:11" ht="6" customHeight="1"/>
    <row r="70" spans="1:11">
      <c r="A70" t="s">
        <v>72</v>
      </c>
      <c r="F70" s="30">
        <f>F68-D43</f>
        <v>0</v>
      </c>
      <c r="J70" s="20">
        <f>F62-F49</f>
        <v>337.6428768384875</v>
      </c>
      <c r="K70" t="s">
        <v>40</v>
      </c>
    </row>
    <row r="71" spans="1:11">
      <c r="J71" s="20">
        <f>F49+F62</f>
        <v>920.53046084995333</v>
      </c>
      <c r="K71" t="s">
        <v>73</v>
      </c>
    </row>
    <row r="72" spans="1:11">
      <c r="A72" t="s">
        <v>74</v>
      </c>
      <c r="F72">
        <f>360/B19</f>
        <v>8</v>
      </c>
    </row>
  </sheetData>
  <mergeCells count="6">
    <mergeCell ref="L64:M64"/>
    <mergeCell ref="D41:E41"/>
    <mergeCell ref="I21:K21"/>
    <mergeCell ref="I22:K22"/>
    <mergeCell ref="I24:K24"/>
    <mergeCell ref="I25:K2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horizontalDpi="4294967294" verticalDpi="300" r:id="rId1"/>
  <rowBreaks count="2" manualBreakCount="2">
    <brk id="46" max="16383" man="1"/>
    <brk id="73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 xr3:uid="{958C4451-9541-5A59-BF78-D2F731DF1C81}"/>
  </sheetViews>
  <sheetFormatPr defaultColWidth="11.42578125" defaultRowHeight="12.7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 xr3:uid="{842E5F09-E766-5B8D-85AF-A39847EA96FD}"/>
  </sheetViews>
  <sheetFormatPr defaultColWidth="11.42578125"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Marco</dc:creator>
  <cp:keywords/>
  <dc:description/>
  <cp:lastModifiedBy>Marc Carminati</cp:lastModifiedBy>
  <cp:revision/>
  <dcterms:created xsi:type="dcterms:W3CDTF">2011-01-21T16:26:06Z</dcterms:created>
  <dcterms:modified xsi:type="dcterms:W3CDTF">2017-08-07T06:54:36Z</dcterms:modified>
  <cp:category/>
  <cp:contentStatus/>
</cp:coreProperties>
</file>